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Calculator" sheetId="4" r:id="rId1"/>
    <sheet name="Benefits Rates" sheetId="1" r:id="rId2"/>
    <sheet name="Dropdown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4" l="1"/>
  <c r="O31" i="1" l="1"/>
  <c r="N33" i="1"/>
  <c r="M33" i="1"/>
  <c r="L33" i="1"/>
  <c r="M26" i="1"/>
  <c r="L26" i="1"/>
  <c r="I30" i="1" l="1"/>
  <c r="I29" i="1"/>
  <c r="I28" i="1"/>
  <c r="I27" i="1"/>
  <c r="I26" i="1"/>
  <c r="N11" i="1" s="1"/>
  <c r="D30" i="1"/>
  <c r="D29" i="1"/>
  <c r="D28" i="1"/>
  <c r="D26" i="1"/>
  <c r="D27" i="1"/>
  <c r="I12" i="1"/>
  <c r="I10" i="1"/>
  <c r="I9" i="1"/>
  <c r="I7" i="1"/>
  <c r="I6" i="1"/>
  <c r="I5" i="1"/>
  <c r="D11" i="1"/>
  <c r="I11" i="1" s="1"/>
  <c r="N13" i="1" l="1"/>
  <c r="M7" i="1"/>
  <c r="S6" i="1"/>
  <c r="B15" i="4" s="1"/>
  <c r="R6" i="1"/>
  <c r="B14" i="4" s="1"/>
  <c r="O24" i="1"/>
  <c r="N16" i="1"/>
  <c r="N15" i="1"/>
  <c r="N14" i="1"/>
  <c r="N12" i="1"/>
  <c r="L7" i="1"/>
  <c r="L24" i="1" l="1"/>
  <c r="C21" i="4"/>
  <c r="C20" i="4"/>
  <c r="C19" i="4"/>
  <c r="C17" i="4"/>
  <c r="C16" i="4"/>
  <c r="C12" i="4"/>
  <c r="C11" i="4"/>
  <c r="L31" i="1" l="1"/>
  <c r="D33" i="1"/>
  <c r="P9" i="1" s="1"/>
  <c r="S7" i="1" s="1"/>
  <c r="C15" i="4" s="1"/>
  <c r="C18" i="4"/>
  <c r="I22" i="1"/>
  <c r="D22" i="1"/>
  <c r="D16" i="1"/>
  <c r="I16" i="1" s="1"/>
  <c r="I15" i="1"/>
  <c r="I14" i="1"/>
  <c r="N7" i="1" l="1"/>
  <c r="C13" i="4" s="1"/>
  <c r="I23" i="1"/>
  <c r="O7" i="1"/>
  <c r="D23" i="1"/>
  <c r="P7" i="1"/>
  <c r="R7" i="1" l="1"/>
  <c r="P24" i="1" s="1"/>
  <c r="P31" i="1" l="1"/>
  <c r="C14" i="4"/>
  <c r="C22" i="4" s="1"/>
  <c r="C24" i="4" s="1"/>
</calcChain>
</file>

<file path=xl/sharedStrings.xml><?xml version="1.0" encoding="utf-8"?>
<sst xmlns="http://schemas.openxmlformats.org/spreadsheetml/2006/main" count="207" uniqueCount="114">
  <si>
    <r>
      <t>Academic (AASUA) Benefits Breakdown</t>
    </r>
    <r>
      <rPr>
        <b/>
        <vertAlign val="superscript"/>
        <sz val="18"/>
        <color theme="1"/>
        <rFont val="Calibri"/>
        <family val="2"/>
        <scheme val="minor"/>
      </rPr>
      <t>1</t>
    </r>
  </si>
  <si>
    <t>Employment Insurance (EI)</t>
  </si>
  <si>
    <t>Maximum Annual Insurable Earnings</t>
  </si>
  <si>
    <t>a</t>
  </si>
  <si>
    <t>Costs Breakdown</t>
  </si>
  <si>
    <t>Pension Type</t>
  </si>
  <si>
    <t>Maximum Annual Employer Premium</t>
  </si>
  <si>
    <t>EI</t>
  </si>
  <si>
    <t>CPP</t>
  </si>
  <si>
    <t>WCB</t>
  </si>
  <si>
    <t>PSPP Pension</t>
  </si>
  <si>
    <t>UAPP Pension</t>
  </si>
  <si>
    <t>EI Rate (Employer)</t>
  </si>
  <si>
    <r>
      <t>ASRP Pension</t>
    </r>
    <r>
      <rPr>
        <b/>
        <vertAlign val="superscript"/>
        <sz val="11"/>
        <color theme="1"/>
        <rFont val="Calibri"/>
        <family val="2"/>
        <scheme val="minor"/>
      </rPr>
      <t xml:space="preserve"> 3</t>
    </r>
  </si>
  <si>
    <t>Canada Pension Plan (CPP)</t>
  </si>
  <si>
    <t>b</t>
  </si>
  <si>
    <t>University of Alberta Benefits Costs Breakdown</t>
  </si>
  <si>
    <t>Basic Exemption Amount</t>
  </si>
  <si>
    <t>Benefit</t>
  </si>
  <si>
    <t>Cost</t>
  </si>
  <si>
    <t>Maximum Annual Employer Contribution</t>
  </si>
  <si>
    <t>Supplemental Healthcare</t>
  </si>
  <si>
    <t>Employer Contribution Rate</t>
  </si>
  <si>
    <t>Dental</t>
  </si>
  <si>
    <t>Life Insurance</t>
  </si>
  <si>
    <t>Worker's Compensation (WCB)</t>
  </si>
  <si>
    <t>Effective Rate</t>
  </si>
  <si>
    <t>c</t>
  </si>
  <si>
    <t>Long-term Disability</t>
  </si>
  <si>
    <t>Maximum Assessable Earnings</t>
  </si>
  <si>
    <t>Employee Family Assistance</t>
  </si>
  <si>
    <t>Maximum Yearly Deduction</t>
  </si>
  <si>
    <t>Critical Illness</t>
  </si>
  <si>
    <r>
      <t xml:space="preserve">Universities Academic Pension Plan (UAPP) 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</si>
  <si>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d</t>
  </si>
  <si>
    <t>e</t>
  </si>
  <si>
    <t>Maximum Pensionable Earnings (YMPE)</t>
  </si>
  <si>
    <t>Salary Cap</t>
  </si>
  <si>
    <t>PSPP Formula Breakdown</t>
  </si>
  <si>
    <t>Max Cost at YMPE</t>
  </si>
  <si>
    <t>Max Cost at Salary Cap</t>
  </si>
  <si>
    <t>x</t>
  </si>
  <si>
    <t>Total</t>
  </si>
  <si>
    <t>Salary Capped</t>
  </si>
  <si>
    <t>Calculation Validation</t>
  </si>
  <si>
    <t>Rate on Excess of Pensionable Salary</t>
  </si>
  <si>
    <t>Before YMPE</t>
  </si>
  <si>
    <t>After YMPE</t>
  </si>
  <si>
    <t>University Benefits Plans</t>
  </si>
  <si>
    <t>Supplemental Health Care</t>
  </si>
  <si>
    <t>f</t>
  </si>
  <si>
    <t>g</t>
  </si>
  <si>
    <t>Employee Family Assistance Program</t>
  </si>
  <si>
    <t>UAPP Formula Breakdown</t>
  </si>
  <si>
    <t>Basic Life Insurance ($100k)</t>
  </si>
  <si>
    <t>Long-Term Disability</t>
  </si>
  <si>
    <t>After Salary Cap</t>
  </si>
  <si>
    <t>UAPP maximum pensionable salary</t>
  </si>
  <si>
    <t>h</t>
  </si>
  <si>
    <t>&lt; 55 ASRP points</t>
  </si>
  <si>
    <t>55 - 80 ASRP points</t>
  </si>
  <si>
    <t>&gt;= 80 ASRP points</t>
  </si>
  <si>
    <r>
      <t>This calculator can be used to estimate the annual benefits cost of a continuting employee</t>
    </r>
    <r>
      <rPr>
        <vertAlign val="superscript"/>
        <sz val="12"/>
        <color theme="1"/>
        <rFont val="Calibri"/>
        <family val="2"/>
        <scheme val="minor"/>
      </rPr>
      <t xml:space="preserve"> 1</t>
    </r>
    <r>
      <rPr>
        <sz val="12"/>
        <color theme="1"/>
        <rFont val="Calibri"/>
        <family val="2"/>
        <scheme val="minor"/>
      </rPr>
      <t>, based on their annual salary rate</t>
    </r>
  </si>
  <si>
    <t>Select Employee Type</t>
  </si>
  <si>
    <t>Academic</t>
  </si>
  <si>
    <t>Union</t>
  </si>
  <si>
    <t>Enter Annual Base Salary Rate</t>
  </si>
  <si>
    <t>Benefit Type</t>
  </si>
  <si>
    <t>Annual Cost</t>
  </si>
  <si>
    <t>Total Estimated Annual Benefits Cost</t>
  </si>
  <si>
    <t>Benefits Percentage</t>
  </si>
  <si>
    <t>1. Continuting Academic include Faculty, APO, FSO and Librarian.</t>
  </si>
  <si>
    <t>2.  Excluded Management Benefits rates should be same as AASUA</t>
  </si>
  <si>
    <t>3. ASRP applies to high earning academic staff. Contribution rate is based on age + years of service. This calculator just used the middle rate of 12%. See 'Benefits Rate' tab for details.</t>
  </si>
  <si>
    <t>Notes:</t>
  </si>
  <si>
    <t>Employee Type</t>
  </si>
  <si>
    <t>Support</t>
  </si>
  <si>
    <t>Maximum annual pensionable earnings</t>
  </si>
  <si>
    <t>Rate on salary below YMPE</t>
  </si>
  <si>
    <t>Rate on salary above YMPE</t>
  </si>
  <si>
    <t>Sources:</t>
  </si>
  <si>
    <t xml:space="preserve">Calculated on this worksheet. </t>
  </si>
  <si>
    <r>
      <t xml:space="preserve">URL: </t>
    </r>
    <r>
      <rPr>
        <u/>
        <sz val="11"/>
        <color theme="1"/>
        <rFont val="Calibri"/>
        <family val="2"/>
        <scheme val="minor"/>
      </rPr>
      <t>https://www.canada.ca/en/revenue-agency/services/tax/businesses/topics/payroll/payroll-deductions-contributions/employment-insurance-ei/ei-premium-rates-maximums.html</t>
    </r>
  </si>
  <si>
    <r>
      <t xml:space="preserve">URL: </t>
    </r>
    <r>
      <rPr>
        <u/>
        <sz val="11"/>
        <color theme="1"/>
        <rFont val="Calibri"/>
        <family val="2"/>
        <scheme val="minor"/>
      </rPr>
      <t>https://www.canada.ca/en/revenue-agency/services/tax/businesses/topics/payroll/payroll-deductions-contributions/canada-pension-plan-cpp/cpp-contribution-rates-maximums-exemptions.html</t>
    </r>
  </si>
  <si>
    <r>
      <t xml:space="preserve">URL: </t>
    </r>
    <r>
      <rPr>
        <u/>
        <sz val="11"/>
        <color theme="1"/>
        <rFont val="Calibri"/>
        <family val="2"/>
        <scheme val="minor"/>
      </rPr>
      <t>http://www.uapp.ca/media/1306/contribution-rates-2022.pdf</t>
    </r>
  </si>
  <si>
    <r>
      <t xml:space="preserve">URL: </t>
    </r>
    <r>
      <rPr>
        <u/>
        <sz val="11"/>
        <color theme="1"/>
        <rFont val="Calibri"/>
        <family val="2"/>
        <scheme val="minor"/>
      </rPr>
      <t>https://www.pspp.ca/page/pension-contributions</t>
    </r>
  </si>
  <si>
    <r>
      <t xml:space="preserve">URL: </t>
    </r>
    <r>
      <rPr>
        <u/>
        <sz val="11"/>
        <color theme="1"/>
        <rFont val="Calibri"/>
        <family val="2"/>
        <scheme val="minor"/>
      </rPr>
      <t>https://www.ualberta.ca/human-resources-health-safety-environment/media-library/employee-benefits/benefit-costs/aoc-apt-summary-of-benefit-costs.pdf</t>
    </r>
  </si>
  <si>
    <r>
      <t xml:space="preserve">URL: </t>
    </r>
    <r>
      <rPr>
        <u/>
        <sz val="11"/>
        <color theme="1"/>
        <rFont val="Calibri"/>
        <family val="2"/>
        <scheme val="minor"/>
      </rPr>
      <t>https://www.ualberta.ca/human-resources-health-safety-environment/media-library/employee-benefits/benefit-costs/support-summary-of-benefit-costs.pdf</t>
    </r>
  </si>
  <si>
    <r>
      <t xml:space="preserve">URL: </t>
    </r>
    <r>
      <rPr>
        <u/>
        <sz val="11"/>
        <color theme="1"/>
        <rFont val="Calibri"/>
        <family val="2"/>
        <scheme val="minor"/>
      </rPr>
      <t>https://www.ualberta.ca/human-resources-health-safety-environment/benefits-and-pay/benefits/pension/academic-supplementary-retirement-plan.html</t>
    </r>
  </si>
  <si>
    <t xml:space="preserve">Accessed 2022/11/15. 2022 rates. "Academic Supplementary Retirement Plan." University of Alberta. </t>
  </si>
  <si>
    <t>d1</t>
  </si>
  <si>
    <r>
      <t xml:space="preserve">Accessed 2023/01/19. UAPP News dated November 25, 2022: </t>
    </r>
    <r>
      <rPr>
        <u/>
        <sz val="11"/>
        <color theme="1"/>
        <rFont val="Calibri"/>
        <family val="2"/>
        <scheme val="minor"/>
      </rPr>
      <t>http://www.uapp.ca/news/</t>
    </r>
  </si>
  <si>
    <t>Accessed 2023/01/19. Per email from Stefan Thordarson to Kyle Shukaliak, the 2023 rates are $0.40 per $100 of assessable earnings, and a Maximum Assessable Earnings limit of $102,100.</t>
  </si>
  <si>
    <t xml:space="preserve">Accessed 2023/01/19. Rates effective January 1, 2023. "Pension Contributions." PSPP. </t>
  </si>
  <si>
    <t xml:space="preserve">Accessed 2022/11/15. Rates effective July 1, 2022. "Contribution rates." UAPP. </t>
  </si>
  <si>
    <t xml:space="preserve">Accessed 2022/11/15. 2023 rates. "CPP contribution rates, maximums and exemptions." Government of Canada/CRA. </t>
  </si>
  <si>
    <t>Accessed 2022/11/24. 2023 rates. "EI premium rates and maximums." Government of Canada/CRA.</t>
  </si>
  <si>
    <t xml:space="preserve">Accessed 2022/11/15. Academic staff benefits rates effective July 1, 2022. "Summary of Benefit Costs."  University of Alberta. </t>
  </si>
  <si>
    <t xml:space="preserve">Accessed 2022/11/15. Support staff benefits rates effective April 1, 2022. "Summary of Benefit Costs." University of Alberta. </t>
  </si>
  <si>
    <t xml:space="preserve">2. UAPP rates effective July 1, 2022 through June 30, 2023. </t>
  </si>
  <si>
    <t>1. Excluded Management effective benefits rates are the same as AASUA.</t>
  </si>
  <si>
    <r>
      <t xml:space="preserve">Life Insurance (2x annual salary) </t>
    </r>
    <r>
      <rPr>
        <vertAlign val="superscript"/>
        <sz val="11"/>
        <color theme="1"/>
        <rFont val="Calibri"/>
        <family val="2"/>
        <scheme val="minor"/>
      </rPr>
      <t>6</t>
    </r>
  </si>
  <si>
    <r>
      <t xml:space="preserve">Support (NASA) Benefits Breakdown </t>
    </r>
    <r>
      <rPr>
        <b/>
        <vertAlign val="superscript"/>
        <sz val="18"/>
        <color theme="1"/>
        <rFont val="Calibri"/>
        <family val="2"/>
        <scheme val="minor"/>
      </rPr>
      <t>4</t>
    </r>
  </si>
  <si>
    <r>
      <t xml:space="preserve">Public Service Pension Plan (PSPP) </t>
    </r>
    <r>
      <rPr>
        <b/>
        <vertAlign val="superscript"/>
        <sz val="11"/>
        <color theme="1"/>
        <rFont val="Calibri"/>
        <family val="2"/>
        <scheme val="minor"/>
      </rPr>
      <t>5</t>
    </r>
  </si>
  <si>
    <t>4. Excluded Support effective benefits rates are the same as NASA</t>
  </si>
  <si>
    <t>6. Rate is converted to percent of annual salary. 2023 annual rate is 3.480 per $1000 of salary.</t>
  </si>
  <si>
    <t>5. Rates effective January 1, 2023, through December 31, 2023.</t>
  </si>
  <si>
    <t xml:space="preserve">ASRP Maximum </t>
  </si>
  <si>
    <r>
      <t xml:space="preserve">Academic Supplementary Retirement Plan (ASRP) 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</si>
  <si>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 xml:space="preserve">3. ASRP calculation assumes all staff are in the band of 55-80 ASRP points and applies the 12% to all eligible staff. The actual amount is 8%, 12% or 16%, dependent on ASRP points. Note that ASRP rates are identical to those of Executive Defined Contribution Supplemental Retirement Plan (for excluded staff). </t>
  </si>
  <si>
    <t>2023-24 University of Alberta Benefits Estimator</t>
  </si>
  <si>
    <t>- These numbers are meant to provide an annual estimate for FY 2024 only; actual charges from the payroll system may differ.</t>
  </si>
  <si>
    <t>- Government Plans (EI, CPP, and WCB) are using rates for calendar year of 2023</t>
  </si>
  <si>
    <t>- University benefits plans (health, dental, life insurance, LTD, EFAP, and critical illness) are using rates effective July 1,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</si>
</sst>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0.0000%"/>
    <numFmt numFmtId="168" formatCode="0.0%"/>
    <numFmt numFmtId="169" formatCode="0.000%"/>
    <numFmt numFmtId="170" formatCode="_(&quot;$&quot;* #,##0.0_);_(&quot;$&quot;* \(#,##0.0\);_(&quot;$&quot;* &quot;-&quot;?_);_(@_)"/>
    <numFmt numFmtId="171" formatCode="_(* #,##0_);_(* \(#,##0\);_(* &quot;-&quot;??_);_(@_)"/>
    <numFmt numFmtId="172" formatCode="_(&quot;$&quot;* #,##0.000_);_(&quot;$&quot;* \(#,##0.0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0" fillId="0" borderId="10" xfId="0" applyBorder="1" applyAlignment="1">
      <alignment horizontal="center"/>
    </xf>
    <xf numFmtId="164" fontId="0" fillId="0" borderId="10" xfId="2" applyFont="1" applyBorder="1"/>
    <xf numFmtId="164" fontId="0" fillId="3" borderId="10" xfId="2" applyFont="1" applyFill="1" applyBorder="1"/>
    <xf numFmtId="164" fontId="0" fillId="2" borderId="10" xfId="2" applyFont="1" applyFill="1" applyBorder="1"/>
    <xf numFmtId="164" fontId="0" fillId="0" borderId="10" xfId="2" applyFont="1" applyBorder="1" applyAlignment="1">
      <alignment horizontal="center"/>
    </xf>
    <xf numFmtId="0" fontId="2" fillId="0" borderId="0" xfId="0" applyFont="1"/>
    <xf numFmtId="165" fontId="0" fillId="0" borderId="0" xfId="1" applyFont="1" applyBorder="1"/>
    <xf numFmtId="165" fontId="0" fillId="0" borderId="0" xfId="0" applyNumberFormat="1"/>
    <xf numFmtId="0" fontId="2" fillId="0" borderId="0" xfId="0" applyFont="1" applyBorder="1" applyAlignment="1">
      <alignment horizontal="center"/>
    </xf>
    <xf numFmtId="0" fontId="0" fillId="0" borderId="0" xfId="0" applyFont="1" applyFill="1" applyBorder="1" applyAlignment="1"/>
    <xf numFmtId="164" fontId="0" fillId="0" borderId="0" xfId="2" applyFont="1" applyBorder="1"/>
    <xf numFmtId="164" fontId="0" fillId="0" borderId="10" xfId="2" applyFont="1" applyBorder="1" applyAlignment="1">
      <alignment horizontal="left"/>
    </xf>
    <xf numFmtId="0" fontId="0" fillId="0" borderId="14" xfId="0" applyFont="1" applyFill="1" applyBorder="1" applyAlignment="1"/>
    <xf numFmtId="10" fontId="0" fillId="0" borderId="6" xfId="3" applyNumberFormat="1" applyFont="1" applyFill="1" applyBorder="1"/>
    <xf numFmtId="10" fontId="0" fillId="0" borderId="0" xfId="3" applyNumberFormat="1" applyFont="1" applyBorder="1"/>
    <xf numFmtId="164" fontId="0" fillId="0" borderId="10" xfId="2" applyNumberFormat="1" applyFont="1" applyBorder="1"/>
    <xf numFmtId="166" fontId="0" fillId="0" borderId="12" xfId="2" applyNumberFormat="1" applyFont="1" applyFill="1" applyBorder="1"/>
    <xf numFmtId="166" fontId="0" fillId="0" borderId="15" xfId="2" applyNumberFormat="1" applyFont="1" applyFill="1" applyBorder="1"/>
    <xf numFmtId="0" fontId="0" fillId="0" borderId="5" xfId="0" applyFont="1" applyFill="1" applyBorder="1" applyAlignment="1"/>
    <xf numFmtId="0" fontId="2" fillId="0" borderId="0" xfId="0" applyFont="1" applyFill="1" applyBorder="1" applyAlignment="1">
      <alignment horizontal="center"/>
    </xf>
    <xf numFmtId="164" fontId="0" fillId="0" borderId="10" xfId="0" applyNumberFormat="1" applyBorder="1"/>
    <xf numFmtId="167" fontId="0" fillId="0" borderId="12" xfId="3" applyNumberFormat="1" applyFont="1" applyFill="1" applyBorder="1"/>
    <xf numFmtId="164" fontId="0" fillId="0" borderId="16" xfId="2" applyFont="1" applyBorder="1"/>
    <xf numFmtId="0" fontId="7" fillId="0" borderId="0" xfId="0" applyFont="1" applyFill="1"/>
    <xf numFmtId="164" fontId="10" fillId="0" borderId="10" xfId="2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166" fontId="12" fillId="4" borderId="10" xfId="2" applyNumberFormat="1" applyFont="1" applyFill="1" applyBorder="1" applyAlignment="1"/>
    <xf numFmtId="0" fontId="10" fillId="5" borderId="0" xfId="0" applyFont="1" applyFill="1"/>
    <xf numFmtId="0" fontId="10" fillId="5" borderId="0" xfId="0" applyFont="1" applyFill="1" applyBorder="1"/>
    <xf numFmtId="164" fontId="10" fillId="5" borderId="0" xfId="2" applyFont="1" applyFill="1" applyBorder="1"/>
    <xf numFmtId="0" fontId="12" fillId="5" borderId="0" xfId="0" applyFont="1" applyFill="1"/>
    <xf numFmtId="0" fontId="0" fillId="5" borderId="0" xfId="0" applyFont="1" applyFill="1"/>
    <xf numFmtId="170" fontId="10" fillId="5" borderId="0" xfId="0" applyNumberFormat="1" applyFont="1" applyFill="1"/>
    <xf numFmtId="0" fontId="12" fillId="5" borderId="0" xfId="0" applyFont="1" applyFill="1" applyBorder="1" applyAlignment="1"/>
    <xf numFmtId="172" fontId="10" fillId="5" borderId="0" xfId="2" applyNumberFormat="1" applyFont="1" applyFill="1" applyBorder="1"/>
    <xf numFmtId="10" fontId="12" fillId="5" borderId="0" xfId="3" applyNumberFormat="1" applyFont="1" applyFill="1"/>
    <xf numFmtId="10" fontId="10" fillId="5" borderId="0" xfId="3" applyNumberFormat="1" applyFont="1" applyFill="1"/>
    <xf numFmtId="0" fontId="9" fillId="5" borderId="0" xfId="0" applyFont="1" applyFill="1"/>
    <xf numFmtId="0" fontId="12" fillId="5" borderId="10" xfId="0" applyFont="1" applyFill="1" applyBorder="1" applyAlignment="1">
      <alignment horizontal="left"/>
    </xf>
    <xf numFmtId="0" fontId="12" fillId="5" borderId="10" xfId="0" applyFont="1" applyFill="1" applyBorder="1" applyAlignment="1"/>
    <xf numFmtId="0" fontId="12" fillId="5" borderId="0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left" indent="2"/>
    </xf>
    <xf numFmtId="164" fontId="12" fillId="5" borderId="0" xfId="2" applyFont="1" applyFill="1" applyBorder="1"/>
    <xf numFmtId="0" fontId="12" fillId="5" borderId="0" xfId="0" applyFont="1" applyFill="1" applyBorder="1" applyAlignment="1">
      <alignment horizontal="left" indent="2"/>
    </xf>
    <xf numFmtId="0" fontId="7" fillId="5" borderId="0" xfId="0" applyFont="1" applyFill="1"/>
    <xf numFmtId="0" fontId="8" fillId="5" borderId="0" xfId="0" applyFont="1" applyFill="1" applyAlignment="1">
      <alignment horizontal="left" indent="1"/>
    </xf>
    <xf numFmtId="0" fontId="0" fillId="5" borderId="0" xfId="0" quotePrefix="1" applyFont="1" applyFill="1"/>
    <xf numFmtId="0" fontId="12" fillId="5" borderId="0" xfId="0" applyFont="1" applyFill="1" applyBorder="1" applyAlignment="1">
      <alignment horizontal="right"/>
    </xf>
    <xf numFmtId="171" fontId="10" fillId="5" borderId="0" xfId="1" applyNumberFormat="1" applyFont="1" applyFill="1" applyBorder="1"/>
    <xf numFmtId="171" fontId="10" fillId="5" borderId="0" xfId="1" applyNumberFormat="1" applyFont="1" applyFill="1" applyBorder="1" applyAlignment="1">
      <alignment horizontal="right"/>
    </xf>
    <xf numFmtId="166" fontId="12" fillId="5" borderId="5" xfId="2" applyNumberFormat="1" applyFont="1" applyFill="1" applyBorder="1"/>
    <xf numFmtId="169" fontId="12" fillId="5" borderId="0" xfId="3" applyNumberFormat="1" applyFont="1" applyFill="1"/>
    <xf numFmtId="166" fontId="0" fillId="0" borderId="6" xfId="2" applyNumberFormat="1" applyFont="1" applyFill="1" applyBorder="1"/>
    <xf numFmtId="10" fontId="0" fillId="0" borderId="15" xfId="3" applyNumberFormat="1" applyFont="1" applyFill="1" applyBorder="1"/>
    <xf numFmtId="0" fontId="13" fillId="0" borderId="0" xfId="0" applyFont="1"/>
    <xf numFmtId="0" fontId="14" fillId="0" borderId="0" xfId="0" applyFont="1"/>
    <xf numFmtId="0" fontId="14" fillId="0" borderId="0" xfId="0" applyFont="1" applyFill="1"/>
    <xf numFmtId="10" fontId="14" fillId="0" borderId="0" xfId="3" applyNumberFormat="1" applyFont="1" applyBorder="1"/>
    <xf numFmtId="0" fontId="15" fillId="0" borderId="0" xfId="0" applyNumberFormat="1" applyFont="1" applyFill="1" applyBorder="1" applyAlignment="1" applyProtection="1"/>
    <xf numFmtId="0" fontId="2" fillId="0" borderId="0" xfId="0" applyFont="1" applyFill="1"/>
    <xf numFmtId="0" fontId="0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/>
    <xf numFmtId="10" fontId="0" fillId="0" borderId="12" xfId="3" applyNumberFormat="1" applyFont="1" applyFill="1" applyBorder="1"/>
    <xf numFmtId="0" fontId="2" fillId="0" borderId="0" xfId="0" applyFont="1" applyFill="1" applyBorder="1" applyAlignment="1">
      <alignment horizontal="left" vertical="center" wrapText="1"/>
    </xf>
    <xf numFmtId="164" fontId="0" fillId="0" borderId="0" xfId="2" applyFont="1" applyFill="1" applyBorder="1"/>
    <xf numFmtId="164" fontId="2" fillId="0" borderId="0" xfId="2" applyFont="1" applyFill="1" applyBorder="1"/>
    <xf numFmtId="164" fontId="1" fillId="0" borderId="0" xfId="2" applyFont="1" applyFill="1" applyBorder="1"/>
    <xf numFmtId="0" fontId="2" fillId="0" borderId="0" xfId="0" applyFont="1" applyFill="1" applyBorder="1" applyAlignment="1">
      <alignment horizontal="left" vertical="center"/>
    </xf>
    <xf numFmtId="0" fontId="0" fillId="0" borderId="5" xfId="0" applyFont="1" applyFill="1" applyBorder="1"/>
    <xf numFmtId="164" fontId="0" fillId="0" borderId="12" xfId="2" applyNumberFormat="1" applyFont="1" applyFill="1" applyBorder="1"/>
    <xf numFmtId="0" fontId="0" fillId="0" borderId="14" xfId="0" applyFont="1" applyFill="1" applyBorder="1"/>
    <xf numFmtId="10" fontId="0" fillId="0" borderId="15" xfId="0" applyNumberFormat="1" applyFill="1" applyBorder="1"/>
    <xf numFmtId="0" fontId="0" fillId="0" borderId="0" xfId="0" applyFont="1" applyFill="1"/>
    <xf numFmtId="0" fontId="0" fillId="0" borderId="0" xfId="0" quotePrefix="1" applyFont="1" applyFill="1" applyBorder="1"/>
    <xf numFmtId="168" fontId="0" fillId="0" borderId="12" xfId="3" applyNumberFormat="1" applyFont="1" applyFill="1" applyBorder="1"/>
    <xf numFmtId="0" fontId="0" fillId="0" borderId="14" xfId="0" quotePrefix="1" applyFont="1" applyFill="1" applyBorder="1"/>
    <xf numFmtId="168" fontId="0" fillId="0" borderId="15" xfId="0" applyNumberFormat="1" applyFill="1" applyBorder="1"/>
    <xf numFmtId="0" fontId="7" fillId="0" borderId="0" xfId="0" applyFont="1" applyFill="1" applyAlignment="1">
      <alignment vertical="top" wrapText="1"/>
    </xf>
    <xf numFmtId="169" fontId="0" fillId="0" borderId="0" xfId="3" applyNumberFormat="1" applyFont="1" applyFill="1"/>
    <xf numFmtId="0" fontId="16" fillId="0" borderId="0" xfId="0" applyFont="1" applyFill="1"/>
    <xf numFmtId="0" fontId="16" fillId="0" borderId="0" xfId="0" applyFont="1"/>
    <xf numFmtId="165" fontId="16" fillId="0" borderId="0" xfId="1" applyFont="1" applyBorder="1"/>
    <xf numFmtId="164" fontId="16" fillId="0" borderId="0" xfId="2" applyFont="1" applyBorder="1"/>
    <xf numFmtId="0" fontId="14" fillId="0" borderId="0" xfId="0" applyFont="1" applyBorder="1" applyAlignment="1">
      <alignment horizontal="center"/>
    </xf>
    <xf numFmtId="10" fontId="16" fillId="0" borderId="0" xfId="3" applyNumberFormat="1" applyFont="1" applyBorder="1"/>
    <xf numFmtId="0" fontId="16" fillId="0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14" fillId="0" borderId="0" xfId="0" applyFont="1" applyFill="1" applyAlignment="1">
      <alignment horizontal="left"/>
    </xf>
    <xf numFmtId="0" fontId="17" fillId="0" borderId="0" xfId="0" applyFont="1" applyFill="1" applyAlignment="1">
      <alignment vertical="top" wrapText="1"/>
    </xf>
    <xf numFmtId="0" fontId="7" fillId="5" borderId="0" xfId="0" applyFont="1" applyFill="1" applyAlignment="1">
      <alignment horizontal="left" vertical="top" wrapText="1"/>
    </xf>
    <xf numFmtId="0" fontId="10" fillId="5" borderId="0" xfId="0" applyFont="1" applyFill="1" applyAlignment="1">
      <alignment horizontal="left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top" wrapText="1"/>
    </xf>
    <xf numFmtId="0" fontId="2" fillId="0" borderId="10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ill>
        <patternFill>
          <bgColor theme="4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/>
  </sheetViews>
  <sheetFormatPr defaultColWidth="11.42578125" defaultRowHeight="15.75" x14ac:dyDescent="0.25"/>
  <cols>
    <col min="1" max="1" width="4.42578125" style="34" customWidth="1"/>
    <col min="2" max="2" width="48.28515625" style="34" customWidth="1"/>
    <col min="3" max="3" width="21.85546875" style="34" customWidth="1"/>
    <col min="4" max="4" width="16.85546875" style="34" customWidth="1"/>
    <col min="5" max="5" width="26.85546875" style="34" customWidth="1"/>
    <col min="6" max="7" width="11.42578125" style="34" customWidth="1"/>
    <col min="8" max="16384" width="11.42578125" style="34"/>
  </cols>
  <sheetData>
    <row r="1" spans="1:7" ht="22.5" customHeight="1" x14ac:dyDescent="0.3">
      <c r="A1" s="44" t="s">
        <v>110</v>
      </c>
    </row>
    <row r="2" spans="1:7" ht="33" customHeight="1" x14ac:dyDescent="0.25">
      <c r="A2" s="98" t="s">
        <v>62</v>
      </c>
      <c r="B2" s="98"/>
      <c r="C2" s="98"/>
      <c r="D2" s="98"/>
    </row>
    <row r="3" spans="1:7" x14ac:dyDescent="0.25">
      <c r="A3" s="37"/>
    </row>
    <row r="5" spans="1:7" ht="15" customHeight="1" x14ac:dyDescent="0.25">
      <c r="B5" s="45" t="s">
        <v>63</v>
      </c>
      <c r="C5" s="31" t="s">
        <v>64</v>
      </c>
    </row>
    <row r="6" spans="1:7" ht="15" customHeight="1" x14ac:dyDescent="0.25">
      <c r="B6" s="45" t="s">
        <v>65</v>
      </c>
      <c r="C6" s="32" t="str">
        <f>IF(C5="Support","NASA",IF(C5="Academic","AASUA",0))</f>
        <v>AASUA</v>
      </c>
    </row>
    <row r="8" spans="1:7" ht="15" customHeight="1" x14ac:dyDescent="0.25">
      <c r="B8" s="46" t="s">
        <v>66</v>
      </c>
      <c r="C8" s="33">
        <v>75000</v>
      </c>
      <c r="D8" s="39"/>
    </row>
    <row r="10" spans="1:7" ht="15" customHeight="1" x14ac:dyDescent="0.25">
      <c r="B10" s="47" t="s">
        <v>67</v>
      </c>
      <c r="C10" s="54" t="s">
        <v>68</v>
      </c>
    </row>
    <row r="11" spans="1:7" ht="15" customHeight="1" x14ac:dyDescent="0.25">
      <c r="B11" s="48" t="s">
        <v>1</v>
      </c>
      <c r="C11" s="55">
        <f>'Benefits Rates'!L7</f>
        <v>1403.4299999999998</v>
      </c>
    </row>
    <row r="12" spans="1:7" ht="15" customHeight="1" x14ac:dyDescent="0.25">
      <c r="B12" s="48" t="s">
        <v>14</v>
      </c>
      <c r="C12" s="55">
        <f>'Benefits Rates'!M7</f>
        <v>3754.45</v>
      </c>
      <c r="F12" s="35"/>
      <c r="G12" s="35"/>
    </row>
    <row r="13" spans="1:7" ht="15" customHeight="1" x14ac:dyDescent="0.25">
      <c r="B13" s="48" t="s">
        <v>25</v>
      </c>
      <c r="C13" s="55">
        <f>'Benefits Rates'!N7</f>
        <v>300</v>
      </c>
      <c r="F13" s="36"/>
      <c r="G13" s="36"/>
    </row>
    <row r="14" spans="1:7" ht="15" customHeight="1" x14ac:dyDescent="0.25">
      <c r="B14" s="48" t="str">
        <f>'Benefits Rates'!R6</f>
        <v>UAPP Pension</v>
      </c>
      <c r="C14" s="55">
        <f>'Benefits Rates'!R7</f>
        <v>8880.24</v>
      </c>
      <c r="D14" s="36"/>
      <c r="E14" s="36"/>
      <c r="F14" s="36"/>
      <c r="G14" s="36"/>
    </row>
    <row r="15" spans="1:7" ht="15" customHeight="1" x14ac:dyDescent="0.25">
      <c r="B15" s="48" t="str">
        <f>'Benefits Rates'!S6</f>
        <v>ASRP Pension 3</v>
      </c>
      <c r="C15" s="56">
        <f>'Benefits Rates'!S7</f>
        <v>0</v>
      </c>
      <c r="D15" s="36"/>
      <c r="E15" s="36"/>
      <c r="F15" s="36"/>
      <c r="G15" s="36"/>
    </row>
    <row r="16" spans="1:7" ht="15" customHeight="1" x14ac:dyDescent="0.25">
      <c r="B16" s="48" t="s">
        <v>21</v>
      </c>
      <c r="C16" s="55">
        <f>'Benefits Rates'!N11</f>
        <v>3684</v>
      </c>
      <c r="D16" s="40"/>
    </row>
    <row r="17" spans="1:7" ht="15" customHeight="1" x14ac:dyDescent="0.25">
      <c r="B17" s="48" t="s">
        <v>23</v>
      </c>
      <c r="C17" s="55">
        <f>'Benefits Rates'!N12</f>
        <v>2208</v>
      </c>
      <c r="D17" s="41"/>
    </row>
    <row r="18" spans="1:7" ht="15" customHeight="1" x14ac:dyDescent="0.25">
      <c r="B18" s="48" t="s">
        <v>24</v>
      </c>
      <c r="C18" s="55">
        <f>'Benefits Rates'!N13</f>
        <v>124.80000000000001</v>
      </c>
      <c r="D18" s="36"/>
    </row>
    <row r="19" spans="1:7" ht="15" customHeight="1" x14ac:dyDescent="0.25">
      <c r="B19" s="48" t="s">
        <v>28</v>
      </c>
      <c r="C19" s="55">
        <f>'Benefits Rates'!N14</f>
        <v>975</v>
      </c>
      <c r="D19" s="36"/>
    </row>
    <row r="20" spans="1:7" ht="15" customHeight="1" x14ac:dyDescent="0.25">
      <c r="B20" s="48" t="s">
        <v>30</v>
      </c>
      <c r="C20" s="55">
        <f>'Benefits Rates'!N15</f>
        <v>96</v>
      </c>
      <c r="D20" s="36"/>
    </row>
    <row r="21" spans="1:7" ht="15" customHeight="1" x14ac:dyDescent="0.25">
      <c r="B21" s="48" t="s">
        <v>32</v>
      </c>
      <c r="C21" s="55">
        <f>'Benefits Rates'!N16</f>
        <v>43.2</v>
      </c>
      <c r="D21" s="36"/>
      <c r="E21" s="36"/>
      <c r="F21" s="36"/>
      <c r="G21" s="35"/>
    </row>
    <row r="22" spans="1:7" ht="15" customHeight="1" x14ac:dyDescent="0.25">
      <c r="B22" s="49" t="s">
        <v>69</v>
      </c>
      <c r="C22" s="57">
        <f>SUM(C11:C21)</f>
        <v>21469.119999999999</v>
      </c>
      <c r="D22" s="36"/>
      <c r="E22" s="36"/>
      <c r="F22" s="36"/>
      <c r="G22" s="35"/>
    </row>
    <row r="23" spans="1:7" ht="15" customHeight="1" x14ac:dyDescent="0.25">
      <c r="D23" s="36"/>
      <c r="E23" s="36"/>
      <c r="F23" s="36"/>
      <c r="G23" s="35"/>
    </row>
    <row r="24" spans="1:7" s="37" customFormat="1" ht="15" customHeight="1" x14ac:dyDescent="0.25">
      <c r="B24" s="50" t="s">
        <v>70</v>
      </c>
      <c r="C24" s="58">
        <f>C22/C8</f>
        <v>0.28625493333333329</v>
      </c>
      <c r="D24" s="42"/>
    </row>
    <row r="25" spans="1:7" ht="15" customHeight="1" x14ac:dyDescent="0.25">
      <c r="D25" s="43"/>
    </row>
    <row r="26" spans="1:7" ht="15" customHeight="1" x14ac:dyDescent="0.25">
      <c r="B26" s="51" t="s">
        <v>71</v>
      </c>
    </row>
    <row r="27" spans="1:7" ht="15" customHeight="1" x14ac:dyDescent="0.25">
      <c r="B27" s="51" t="s">
        <v>72</v>
      </c>
    </row>
    <row r="28" spans="1:7" ht="33" customHeight="1" x14ac:dyDescent="0.25">
      <c r="B28" s="97" t="s">
        <v>73</v>
      </c>
      <c r="C28" s="97"/>
      <c r="D28" s="97"/>
    </row>
    <row r="29" spans="1:7" s="38" customFormat="1" ht="12.75" customHeight="1" x14ac:dyDescent="0.25"/>
    <row r="30" spans="1:7" s="38" customFormat="1" ht="15" customHeight="1" x14ac:dyDescent="0.25">
      <c r="A30" s="52" t="s">
        <v>74</v>
      </c>
    </row>
    <row r="31" spans="1:7" s="38" customFormat="1" ht="15" customHeight="1" x14ac:dyDescent="0.25">
      <c r="B31" s="53" t="s">
        <v>111</v>
      </c>
    </row>
    <row r="32" spans="1:7" s="38" customFormat="1" ht="15" customHeight="1" x14ac:dyDescent="0.25">
      <c r="B32" s="53" t="s">
        <v>112</v>
      </c>
    </row>
    <row r="33" spans="2:2" s="38" customFormat="1" ht="15" customHeight="1" x14ac:dyDescent="0.25">
      <c r="B33" s="53" t="s">
        <v>113</v>
      </c>
    </row>
    <row r="34" spans="2:2" s="38" customFormat="1" ht="15" customHeight="1" x14ac:dyDescent="0.25"/>
    <row r="35" spans="2:2" s="38" customFormat="1" ht="15" customHeight="1" x14ac:dyDescent="0.25"/>
    <row r="36" spans="2:2" s="38" customFormat="1" ht="15" customHeight="1" x14ac:dyDescent="0.25"/>
    <row r="37" spans="2:2" s="38" customFormat="1" ht="15" customHeight="1" x14ac:dyDescent="0.25"/>
    <row r="38" spans="2:2" s="38" customFormat="1" ht="15" customHeight="1" x14ac:dyDescent="0.25"/>
    <row r="39" spans="2:2" s="38" customFormat="1" ht="15" customHeight="1" x14ac:dyDescent="0.25"/>
    <row r="40" spans="2:2" s="38" customFormat="1" ht="15" customHeight="1" x14ac:dyDescent="0.25"/>
    <row r="41" spans="2:2" s="38" customFormat="1" ht="15" customHeight="1" x14ac:dyDescent="0.25"/>
    <row r="42" spans="2:2" s="38" customFormat="1" ht="15" customHeight="1" x14ac:dyDescent="0.25"/>
    <row r="43" spans="2:2" s="38" customFormat="1" ht="15" customHeight="1" x14ac:dyDescent="0.25"/>
    <row r="44" spans="2:2" s="38" customFormat="1" ht="15" customHeight="1" x14ac:dyDescent="0.25"/>
  </sheetData>
  <sheetProtection sheet="1" objects="1" scenarios="1"/>
  <protectedRanges>
    <protectedRange sqref="C8" name="Salary Rate"/>
    <protectedRange sqref="C5" name="Employee Type"/>
  </protectedRanges>
  <mergeCells count="2">
    <mergeCell ref="B28:D28"/>
    <mergeCell ref="A2:D2"/>
  </mergeCells>
  <conditionalFormatting sqref="C6">
    <cfRule type="expression" dxfId="1" priority="1">
      <formula>$C$5="Support"</formula>
    </cfRule>
    <cfRule type="expression" dxfId="0" priority="2">
      <formula>$C$5="Academic"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xWindow="470" yWindow="360" count="1">
        <x14:dataValidation type="list" showInputMessage="1" showErrorMessage="1" promptTitle="Employee Type" prompt="Please determine whether the employee is a continuing academic or continuing support staff member. _x000a__x000a_The benefit costs will adjust according to the employee type and corresponding union.">
          <x14:formula1>
            <xm:f>Dropdown!$A$2:$A$3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showGridLines="0" workbookViewId="0"/>
  </sheetViews>
  <sheetFormatPr defaultColWidth="20.85546875" defaultRowHeight="15" outlineLevelCol="1" x14ac:dyDescent="0.25"/>
  <cols>
    <col min="1" max="1" width="3.85546875" customWidth="1"/>
    <col min="2" max="2" width="27.42578125" customWidth="1"/>
    <col min="3" max="3" width="40" customWidth="1"/>
    <col min="4" max="4" width="14.85546875" customWidth="1"/>
    <col min="5" max="5" width="3.140625" style="94" bestFit="1" customWidth="1"/>
    <col min="6" max="6" width="2.85546875" style="1" customWidth="1"/>
    <col min="7" max="7" width="27.42578125" customWidth="1"/>
    <col min="8" max="8" width="40" customWidth="1"/>
    <col min="9" max="9" width="16.42578125" customWidth="1"/>
    <col min="10" max="10" width="2" style="88" bestFit="1" customWidth="1"/>
    <col min="11" max="11" width="11.140625" bestFit="1" customWidth="1"/>
    <col min="12" max="16" width="20.85546875" hidden="1" customWidth="1" outlineLevel="1"/>
    <col min="17" max="17" width="2.28515625" hidden="1" customWidth="1" outlineLevel="1"/>
    <col min="18" max="19" width="20.85546875" hidden="1" customWidth="1" outlineLevel="1"/>
    <col min="20" max="20" width="4.42578125" customWidth="1" collapsed="1"/>
  </cols>
  <sheetData>
    <row r="1" spans="2:19" s="4" customFormat="1" x14ac:dyDescent="0.25">
      <c r="E1" s="93"/>
      <c r="F1" s="3"/>
      <c r="J1" s="87"/>
    </row>
    <row r="2" spans="2:19" ht="15.75" thickBot="1" x14ac:dyDescent="0.3"/>
    <row r="3" spans="2:19" ht="27" thickBot="1" x14ac:dyDescent="0.4">
      <c r="B3" s="107" t="s">
        <v>0</v>
      </c>
      <c r="C3" s="108"/>
      <c r="D3" s="109"/>
      <c r="G3" s="110" t="s">
        <v>102</v>
      </c>
      <c r="H3" s="111"/>
      <c r="I3" s="112"/>
    </row>
    <row r="4" spans="2:19" s="4" customFormat="1" ht="5.25" customHeight="1" x14ac:dyDescent="0.35">
      <c r="B4" s="2"/>
      <c r="C4" s="2"/>
      <c r="D4" s="2"/>
      <c r="E4" s="93"/>
      <c r="F4" s="3"/>
      <c r="G4" s="2"/>
      <c r="H4" s="2"/>
      <c r="I4" s="2"/>
      <c r="J4" s="87"/>
      <c r="L4"/>
      <c r="M4"/>
      <c r="N4"/>
      <c r="O4"/>
      <c r="P4"/>
      <c r="Q4"/>
      <c r="R4"/>
    </row>
    <row r="5" spans="2:19" ht="15" customHeight="1" x14ac:dyDescent="0.25">
      <c r="B5" s="102" t="s">
        <v>1</v>
      </c>
      <c r="C5" s="25" t="s">
        <v>2</v>
      </c>
      <c r="D5" s="59">
        <v>61500</v>
      </c>
      <c r="E5" s="95" t="s">
        <v>3</v>
      </c>
      <c r="F5" s="3"/>
      <c r="G5" s="102" t="s">
        <v>1</v>
      </c>
      <c r="H5" s="25" t="s">
        <v>2</v>
      </c>
      <c r="I5" s="59">
        <f>D5</f>
        <v>61500</v>
      </c>
      <c r="J5" s="62" t="s">
        <v>3</v>
      </c>
      <c r="L5" s="113" t="s">
        <v>4</v>
      </c>
      <c r="M5" s="114"/>
      <c r="N5" s="114"/>
      <c r="O5" s="114"/>
      <c r="P5" s="115"/>
      <c r="R5" s="5" t="s">
        <v>5</v>
      </c>
      <c r="S5" s="5" t="s">
        <v>5</v>
      </c>
    </row>
    <row r="6" spans="2:19" ht="15" customHeight="1" x14ac:dyDescent="0.25">
      <c r="B6" s="103"/>
      <c r="C6" s="16" t="s">
        <v>6</v>
      </c>
      <c r="D6" s="23">
        <v>1403.4299999999998</v>
      </c>
      <c r="E6" s="95" t="s">
        <v>3</v>
      </c>
      <c r="F6" s="3"/>
      <c r="G6" s="103"/>
      <c r="H6" s="16" t="s">
        <v>6</v>
      </c>
      <c r="I6" s="23">
        <f>D6</f>
        <v>1403.4299999999998</v>
      </c>
      <c r="J6" s="62" t="s">
        <v>3</v>
      </c>
      <c r="L6" s="6" t="s">
        <v>7</v>
      </c>
      <c r="M6" s="6" t="s">
        <v>8</v>
      </c>
      <c r="N6" s="6" t="s">
        <v>9</v>
      </c>
      <c r="O6" s="6" t="s">
        <v>10</v>
      </c>
      <c r="P6" s="6" t="s">
        <v>11</v>
      </c>
      <c r="R6" s="7" t="str">
        <f>IF(Calculator!C5="Support", O6, IF(Calculator!C5="Academic", P6, Error))</f>
        <v>UAPP Pension</v>
      </c>
      <c r="S6" s="7" t="str">
        <f>IF(Calculator!C5="Support", "Not Applicable", IF(Calculator!C5="Academic", P8, Error))</f>
        <v>ASRP Pension 3</v>
      </c>
    </row>
    <row r="7" spans="2:19" ht="15" customHeight="1" x14ac:dyDescent="0.25">
      <c r="B7" s="104"/>
      <c r="C7" s="19" t="s">
        <v>12</v>
      </c>
      <c r="D7" s="60">
        <v>1.6299999999999999E-2</v>
      </c>
      <c r="E7" s="95" t="s">
        <v>3</v>
      </c>
      <c r="F7" s="3"/>
      <c r="G7" s="104"/>
      <c r="H7" s="19" t="s">
        <v>12</v>
      </c>
      <c r="I7" s="60">
        <f>D7</f>
        <v>1.6299999999999999E-2</v>
      </c>
      <c r="J7" s="62" t="s">
        <v>3</v>
      </c>
      <c r="L7" s="8">
        <f>IF(Calculator!C8&gt;=I5,I6,((Calculator!C8*I7)))</f>
        <v>1403.4299999999998</v>
      </c>
      <c r="M7" s="8">
        <f>IF(Calculator!C8&gt;=I10, IF(Calculator!C8&gt;=I9,I11,((Calculator!C8-I10)*I12)), 0)</f>
        <v>3754.45</v>
      </c>
      <c r="N7" s="8">
        <f>IF(Calculator!C8&gt;=I15,I16,Calculator!C8*(I14))</f>
        <v>300</v>
      </c>
      <c r="O7" s="9" t="str">
        <f>IF(Calculator!C5="Support",IF(Calculator!C8&lt;=I21,IF(Calculator!C8&lt;=I20, Calculator!C8*I18, (I22+((Calculator!C8-I20)*I19))), I23), "Not Applicable")</f>
        <v>Not Applicable</v>
      </c>
      <c r="P7" s="10">
        <f>IF(Calculator!C5="Academic",IF(Calculator!C8&lt;=D21,IF(Calculator!C8&lt;=D20, Calculator!C8*D18, (D22+((Calculator!C8-D20)*D19))),(((Calculator!C8-'Benefits Rates'!D21)*'Benefits Rates'!D24)+'Benefits Rates'!D23)), "Not Applicable")</f>
        <v>8880.24</v>
      </c>
      <c r="R7" s="11">
        <f>IF(Calculator!C5="Support", O7, IF(Calculator!C5="Academic", P7, "Error"))</f>
        <v>8880.24</v>
      </c>
      <c r="S7" s="11">
        <f>IF(Calculator!C5="Support", "N/A", IF(Calculator!C5="Academic", P9, "Error"))</f>
        <v>0</v>
      </c>
    </row>
    <row r="8" spans="2:19" ht="6" customHeight="1" x14ac:dyDescent="0.25">
      <c r="B8" s="66"/>
      <c r="C8" s="67"/>
      <c r="D8" s="68"/>
      <c r="E8" s="93"/>
      <c r="F8" s="3"/>
      <c r="G8" s="66"/>
      <c r="H8" s="67"/>
      <c r="I8" s="68"/>
      <c r="J8" s="89"/>
      <c r="K8" s="13"/>
      <c r="P8" s="6" t="s">
        <v>13</v>
      </c>
    </row>
    <row r="9" spans="2:19" ht="15" customHeight="1" x14ac:dyDescent="0.25">
      <c r="B9" s="102" t="s">
        <v>14</v>
      </c>
      <c r="C9" s="25" t="s">
        <v>77</v>
      </c>
      <c r="D9" s="59">
        <v>66600</v>
      </c>
      <c r="E9" s="95" t="s">
        <v>15</v>
      </c>
      <c r="F9" s="3"/>
      <c r="G9" s="102" t="s">
        <v>14</v>
      </c>
      <c r="H9" s="25" t="s">
        <v>77</v>
      </c>
      <c r="I9" s="59">
        <f>D9</f>
        <v>66600</v>
      </c>
      <c r="J9" s="62" t="s">
        <v>15</v>
      </c>
      <c r="K9" s="14"/>
      <c r="L9" s="106" t="s">
        <v>16</v>
      </c>
      <c r="M9" s="106"/>
      <c r="N9" s="106"/>
      <c r="P9" s="10">
        <f>IF(Calculator!C5="Academic",IF(Calculator!C8&lt;=D34,IF(Calculator!C8&lt;=D33, 0, ((Calculator!C8-D33)*D36)),((D34-D33)*'Benefits Rates'!D36)), "NA")</f>
        <v>0</v>
      </c>
    </row>
    <row r="10" spans="2:19" ht="15" customHeight="1" x14ac:dyDescent="0.25">
      <c r="B10" s="103"/>
      <c r="C10" s="16" t="s">
        <v>17</v>
      </c>
      <c r="D10" s="23">
        <v>3500</v>
      </c>
      <c r="E10" s="95" t="s">
        <v>15</v>
      </c>
      <c r="F10" s="3"/>
      <c r="G10" s="103"/>
      <c r="H10" s="16" t="s">
        <v>17</v>
      </c>
      <c r="I10" s="23">
        <f>D10</f>
        <v>3500</v>
      </c>
      <c r="J10" s="62" t="s">
        <v>15</v>
      </c>
      <c r="K10" s="15"/>
      <c r="L10" s="106" t="s">
        <v>18</v>
      </c>
      <c r="M10" s="106"/>
      <c r="N10" s="5" t="s">
        <v>19</v>
      </c>
    </row>
    <row r="11" spans="2:19" ht="15" customHeight="1" x14ac:dyDescent="0.25">
      <c r="B11" s="103"/>
      <c r="C11" s="16" t="s">
        <v>20</v>
      </c>
      <c r="D11" s="23">
        <f>(D9-D10)*D12</f>
        <v>3754.45</v>
      </c>
      <c r="E11" s="95" t="s">
        <v>15</v>
      </c>
      <c r="F11" s="3"/>
      <c r="G11" s="103"/>
      <c r="H11" s="16" t="s">
        <v>20</v>
      </c>
      <c r="I11" s="23">
        <f>D11</f>
        <v>3754.45</v>
      </c>
      <c r="J11" s="62" t="s">
        <v>15</v>
      </c>
      <c r="K11" s="17"/>
      <c r="L11" s="18" t="s">
        <v>21</v>
      </c>
      <c r="M11" s="18"/>
      <c r="N11" s="8">
        <f>IF(Calculator!C5="Support",I26,IF(Calculator!C5="Academic",D26,0))</f>
        <v>3684</v>
      </c>
    </row>
    <row r="12" spans="2:19" ht="15" customHeight="1" x14ac:dyDescent="0.25">
      <c r="B12" s="104"/>
      <c r="C12" s="19" t="s">
        <v>22</v>
      </c>
      <c r="D12" s="60">
        <v>5.9499999999999997E-2</v>
      </c>
      <c r="E12" s="95" t="s">
        <v>15</v>
      </c>
      <c r="F12" s="3"/>
      <c r="G12" s="104"/>
      <c r="H12" s="19" t="s">
        <v>22</v>
      </c>
      <c r="I12" s="60">
        <f>D12</f>
        <v>5.9499999999999997E-2</v>
      </c>
      <c r="J12" s="62" t="s">
        <v>15</v>
      </c>
      <c r="K12" s="17"/>
      <c r="L12" s="18" t="s">
        <v>23</v>
      </c>
      <c r="M12" s="18"/>
      <c r="N12" s="8">
        <f>IF(Calculator!C5="Support",I27,IF(Calculator!C5="Academic",D27,0))</f>
        <v>2208</v>
      </c>
    </row>
    <row r="13" spans="2:19" ht="6" customHeight="1" x14ac:dyDescent="0.25">
      <c r="B13" s="66"/>
      <c r="C13" s="67"/>
      <c r="D13" s="69"/>
      <c r="E13" s="93"/>
      <c r="F13" s="3"/>
      <c r="G13" s="66"/>
      <c r="H13" s="67"/>
      <c r="I13" s="68"/>
      <c r="J13" s="90"/>
      <c r="K13" s="17"/>
      <c r="L13" s="18" t="s">
        <v>24</v>
      </c>
      <c r="M13" s="18"/>
      <c r="N13" s="8">
        <f>IF(Calculator!C5="Support",Calculator!C8*I30,IF(Calculator!C5="Academic",D30,0))</f>
        <v>124.80000000000001</v>
      </c>
    </row>
    <row r="14" spans="2:19" ht="15" customHeight="1" x14ac:dyDescent="0.25">
      <c r="B14" s="99" t="s">
        <v>25</v>
      </c>
      <c r="C14" s="25" t="s">
        <v>26</v>
      </c>
      <c r="D14" s="20">
        <v>4.0000000000000001E-3</v>
      </c>
      <c r="E14" s="95" t="s">
        <v>27</v>
      </c>
      <c r="F14" s="3"/>
      <c r="G14" s="99" t="s">
        <v>25</v>
      </c>
      <c r="H14" s="25" t="s">
        <v>26</v>
      </c>
      <c r="I14" s="20">
        <f>D14</f>
        <v>4.0000000000000001E-3</v>
      </c>
      <c r="J14" s="64" t="s">
        <v>27</v>
      </c>
      <c r="K14" s="21"/>
      <c r="L14" s="18" t="s">
        <v>28</v>
      </c>
      <c r="M14" s="18"/>
      <c r="N14" s="22">
        <f>IF(Calculator!C5="Support",Calculator!C8*I31,IF(Calculator!C5="Academic", Calculator!C8*D31,0))</f>
        <v>975</v>
      </c>
    </row>
    <row r="15" spans="2:19" ht="15" customHeight="1" x14ac:dyDescent="0.25">
      <c r="B15" s="100"/>
      <c r="C15" s="16" t="s">
        <v>29</v>
      </c>
      <c r="D15" s="23">
        <v>102100</v>
      </c>
      <c r="E15" s="95" t="s">
        <v>27</v>
      </c>
      <c r="F15" s="3"/>
      <c r="G15" s="100"/>
      <c r="H15" s="16" t="s">
        <v>29</v>
      </c>
      <c r="I15" s="23">
        <f>D15</f>
        <v>102100</v>
      </c>
      <c r="J15" s="64" t="s">
        <v>27</v>
      </c>
      <c r="K15" s="17"/>
      <c r="L15" s="18" t="s">
        <v>30</v>
      </c>
      <c r="M15" s="18"/>
      <c r="N15" s="8">
        <f>IF(Calculator!C5="Support",I28,IF(Calculator!C5="Academic",D28,0))</f>
        <v>96</v>
      </c>
    </row>
    <row r="16" spans="2:19" ht="15" customHeight="1" x14ac:dyDescent="0.25">
      <c r="B16" s="101"/>
      <c r="C16" s="19" t="s">
        <v>31</v>
      </c>
      <c r="D16" s="24">
        <f>D14*D15</f>
        <v>408.40000000000003</v>
      </c>
      <c r="E16" s="95" t="s">
        <v>27</v>
      </c>
      <c r="F16" s="3"/>
      <c r="G16" s="101"/>
      <c r="H16" s="19" t="s">
        <v>31</v>
      </c>
      <c r="I16" s="24">
        <f>D16</f>
        <v>408.40000000000003</v>
      </c>
      <c r="J16" s="62" t="s">
        <v>27</v>
      </c>
      <c r="L16" s="18" t="s">
        <v>32</v>
      </c>
      <c r="M16" s="18"/>
      <c r="N16" s="8">
        <f>IF(Calculator!C5="Support",I29,IF(Calculator!C5="Academic",D29,0))</f>
        <v>43.2</v>
      </c>
    </row>
    <row r="17" spans="2:16" ht="6" customHeight="1" x14ac:dyDescent="0.25">
      <c r="B17" s="66"/>
      <c r="C17" s="67"/>
      <c r="D17" s="68"/>
      <c r="E17" s="93"/>
      <c r="F17" s="3"/>
      <c r="G17" s="66"/>
      <c r="H17" s="67"/>
      <c r="I17" s="68"/>
      <c r="J17" s="91"/>
      <c r="K17" s="15"/>
    </row>
    <row r="18" spans="2:16" ht="15" customHeight="1" x14ac:dyDescent="0.25">
      <c r="B18" s="99" t="s">
        <v>33</v>
      </c>
      <c r="C18" s="25" t="s">
        <v>78</v>
      </c>
      <c r="D18" s="20">
        <v>0.1138</v>
      </c>
      <c r="E18" s="95" t="s">
        <v>34</v>
      </c>
      <c r="F18" s="3"/>
      <c r="G18" s="99" t="s">
        <v>103</v>
      </c>
      <c r="H18" s="25" t="s">
        <v>78</v>
      </c>
      <c r="I18" s="20">
        <v>8.3000000000000004E-2</v>
      </c>
      <c r="J18" s="62" t="s">
        <v>35</v>
      </c>
    </row>
    <row r="19" spans="2:16" ht="15" customHeight="1" x14ac:dyDescent="0.25">
      <c r="B19" s="100"/>
      <c r="C19" s="16" t="s">
        <v>79</v>
      </c>
      <c r="D19" s="70">
        <v>0.15490000000000001</v>
      </c>
      <c r="E19" s="95" t="s">
        <v>34</v>
      </c>
      <c r="F19" s="3"/>
      <c r="G19" s="100"/>
      <c r="H19" s="16" t="s">
        <v>79</v>
      </c>
      <c r="I19" s="70">
        <v>0.11899999999999999</v>
      </c>
      <c r="J19" s="62" t="s">
        <v>35</v>
      </c>
    </row>
    <row r="20" spans="2:16" ht="15" customHeight="1" x14ac:dyDescent="0.25">
      <c r="B20" s="100"/>
      <c r="C20" s="16" t="s">
        <v>36</v>
      </c>
      <c r="D20" s="23">
        <v>66600</v>
      </c>
      <c r="E20" s="95" t="s">
        <v>15</v>
      </c>
      <c r="F20" s="3"/>
      <c r="G20" s="100"/>
      <c r="H20" s="16" t="s">
        <v>36</v>
      </c>
      <c r="I20" s="23">
        <v>66600</v>
      </c>
      <c r="J20" s="62" t="s">
        <v>15</v>
      </c>
      <c r="K20" s="17"/>
    </row>
    <row r="21" spans="2:16" ht="15" customHeight="1" x14ac:dyDescent="0.25">
      <c r="B21" s="100"/>
      <c r="C21" s="16" t="s">
        <v>37</v>
      </c>
      <c r="D21" s="23">
        <v>195313</v>
      </c>
      <c r="E21" s="95" t="s">
        <v>90</v>
      </c>
      <c r="F21" s="3"/>
      <c r="G21" s="100"/>
      <c r="H21" s="16" t="s">
        <v>37</v>
      </c>
      <c r="I21" s="23">
        <v>195313</v>
      </c>
      <c r="J21" s="62" t="s">
        <v>35</v>
      </c>
      <c r="L21" s="12" t="s">
        <v>38</v>
      </c>
    </row>
    <row r="22" spans="2:16" ht="15" customHeight="1" x14ac:dyDescent="0.25">
      <c r="B22" s="100"/>
      <c r="C22" s="16" t="s">
        <v>39</v>
      </c>
      <c r="D22" s="23">
        <f>D18*D20</f>
        <v>7579.08</v>
      </c>
      <c r="E22" s="95" t="s">
        <v>41</v>
      </c>
      <c r="F22" s="3"/>
      <c r="G22" s="100"/>
      <c r="H22" s="16" t="s">
        <v>39</v>
      </c>
      <c r="I22" s="23">
        <f>I18*I20</f>
        <v>5527.8</v>
      </c>
      <c r="J22" s="64" t="s">
        <v>41</v>
      </c>
      <c r="K22" s="26"/>
    </row>
    <row r="23" spans="2:16" ht="15" customHeight="1" x14ac:dyDescent="0.25">
      <c r="B23" s="100"/>
      <c r="C23" s="16" t="s">
        <v>40</v>
      </c>
      <c r="D23" s="23">
        <f>D22+(D21-D20)*D19</f>
        <v>27516.723700000002</v>
      </c>
      <c r="E23" s="95" t="s">
        <v>41</v>
      </c>
      <c r="F23" s="3"/>
      <c r="G23" s="101"/>
      <c r="H23" s="19" t="s">
        <v>40</v>
      </c>
      <c r="I23" s="24">
        <f>I22+((I21-I20)*I19)</f>
        <v>20844.647000000001</v>
      </c>
      <c r="J23" s="64" t="s">
        <v>41</v>
      </c>
      <c r="K23" s="21"/>
      <c r="L23" s="5" t="s">
        <v>42</v>
      </c>
      <c r="O23" s="5" t="s">
        <v>43</v>
      </c>
      <c r="P23" s="5" t="s">
        <v>44</v>
      </c>
    </row>
    <row r="24" spans="2:16" x14ac:dyDescent="0.25">
      <c r="B24" s="101"/>
      <c r="C24" s="19" t="s">
        <v>45</v>
      </c>
      <c r="D24" s="60">
        <v>1.7850000000000001E-2</v>
      </c>
      <c r="E24" s="95" t="s">
        <v>34</v>
      </c>
      <c r="F24" s="3"/>
      <c r="G24" s="71"/>
      <c r="H24" s="16"/>
      <c r="I24" s="72"/>
      <c r="J24" s="92"/>
      <c r="K24" s="21"/>
      <c r="L24" s="27">
        <f>SUM(L26:M26)</f>
        <v>6527.4</v>
      </c>
      <c r="O24" s="7" t="str">
        <f>IF(Calculator!C8&gt;=I21,"Yes","No")</f>
        <v>No</v>
      </c>
      <c r="P24" s="7" t="str">
        <f>IF(Calculator!C5="Support", IF(L24=R7," Correct", "Error"), "Not Eligible")</f>
        <v>Not Eligible</v>
      </c>
    </row>
    <row r="25" spans="2:16" ht="6" customHeight="1" x14ac:dyDescent="0.25">
      <c r="B25" s="73"/>
      <c r="C25" s="74"/>
      <c r="D25" s="68"/>
      <c r="E25" s="93"/>
      <c r="F25" s="3"/>
      <c r="G25" s="75"/>
      <c r="H25" s="16"/>
      <c r="I25" s="72"/>
      <c r="J25" s="90"/>
      <c r="K25" s="17"/>
      <c r="L25" s="5" t="s">
        <v>46</v>
      </c>
      <c r="M25" s="5" t="s">
        <v>47</v>
      </c>
    </row>
    <row r="26" spans="2:16" ht="15" customHeight="1" x14ac:dyDescent="0.25">
      <c r="B26" s="102" t="s">
        <v>48</v>
      </c>
      <c r="C26" s="76" t="s">
        <v>49</v>
      </c>
      <c r="D26" s="59">
        <f>12*307</f>
        <v>3684</v>
      </c>
      <c r="E26" s="95" t="s">
        <v>50</v>
      </c>
      <c r="F26" s="3"/>
      <c r="G26" s="102" t="s">
        <v>48</v>
      </c>
      <c r="H26" s="76" t="s">
        <v>49</v>
      </c>
      <c r="I26" s="59">
        <f>12*348</f>
        <v>4176</v>
      </c>
      <c r="J26" s="63" t="s">
        <v>51</v>
      </c>
      <c r="K26" s="17"/>
      <c r="L26" s="27">
        <f>IF(Calculator!C8&lt;=I20, I18*Calculator!C8, I20*I18)</f>
        <v>5527.8</v>
      </c>
      <c r="M26" s="27">
        <f>IF(Calculator!C8&lt;=I21, IF(Calculator!C8&lt;=I20, 0, (Calculator!C8-I20)*I19), (I21-I20)*I19)</f>
        <v>999.59999999999991</v>
      </c>
    </row>
    <row r="27" spans="2:16" ht="15" customHeight="1" x14ac:dyDescent="0.25">
      <c r="B27" s="103"/>
      <c r="C27" s="67" t="s">
        <v>23</v>
      </c>
      <c r="D27" s="23">
        <f>12*184</f>
        <v>2208</v>
      </c>
      <c r="E27" s="95" t="s">
        <v>50</v>
      </c>
      <c r="F27" s="3"/>
      <c r="G27" s="103"/>
      <c r="H27" s="67" t="s">
        <v>23</v>
      </c>
      <c r="I27" s="23">
        <f>12*162</f>
        <v>1944</v>
      </c>
      <c r="J27" s="63" t="s">
        <v>51</v>
      </c>
    </row>
    <row r="28" spans="2:16" ht="15" customHeight="1" x14ac:dyDescent="0.25">
      <c r="B28" s="103"/>
      <c r="C28" s="67" t="s">
        <v>52</v>
      </c>
      <c r="D28" s="23">
        <f>12*8</f>
        <v>96</v>
      </c>
      <c r="E28" s="95" t="s">
        <v>50</v>
      </c>
      <c r="F28" s="3"/>
      <c r="G28" s="103"/>
      <c r="H28" s="67" t="s">
        <v>52</v>
      </c>
      <c r="I28" s="23">
        <f>12*8</f>
        <v>96</v>
      </c>
      <c r="J28" s="62" t="s">
        <v>51</v>
      </c>
      <c r="L28" s="12" t="s">
        <v>53</v>
      </c>
    </row>
    <row r="29" spans="2:16" ht="15" customHeight="1" x14ac:dyDescent="0.25">
      <c r="B29" s="103"/>
      <c r="C29" s="67" t="s">
        <v>32</v>
      </c>
      <c r="D29" s="23">
        <f>12*3.6</f>
        <v>43.2</v>
      </c>
      <c r="E29" s="95" t="s">
        <v>50</v>
      </c>
      <c r="F29" s="3"/>
      <c r="G29" s="103"/>
      <c r="H29" s="67" t="s">
        <v>32</v>
      </c>
      <c r="I29" s="23">
        <f>12*3.6</f>
        <v>43.2</v>
      </c>
      <c r="J29" s="62" t="s">
        <v>51</v>
      </c>
    </row>
    <row r="30" spans="2:16" ht="15" customHeight="1" x14ac:dyDescent="0.25">
      <c r="B30" s="103"/>
      <c r="C30" s="67" t="s">
        <v>54</v>
      </c>
      <c r="D30" s="77">
        <f>12*10.4</f>
        <v>124.80000000000001</v>
      </c>
      <c r="E30" s="95" t="s">
        <v>50</v>
      </c>
      <c r="F30" s="3"/>
      <c r="G30" s="103"/>
      <c r="H30" s="67" t="s">
        <v>101</v>
      </c>
      <c r="I30" s="28">
        <f>2*(0.145*12)/1000</f>
        <v>3.4799999999999996E-3</v>
      </c>
      <c r="J30" s="64" t="s">
        <v>51</v>
      </c>
      <c r="K30" s="15"/>
      <c r="L30" s="5" t="s">
        <v>42</v>
      </c>
      <c r="O30" s="5" t="s">
        <v>43</v>
      </c>
      <c r="P30" s="5" t="s">
        <v>44</v>
      </c>
    </row>
    <row r="31" spans="2:16" ht="15" customHeight="1" x14ac:dyDescent="0.25">
      <c r="B31" s="104"/>
      <c r="C31" s="78" t="s">
        <v>55</v>
      </c>
      <c r="D31" s="79">
        <v>1.2999999999999999E-2</v>
      </c>
      <c r="E31" s="95" t="s">
        <v>50</v>
      </c>
      <c r="F31" s="3"/>
      <c r="G31" s="104"/>
      <c r="H31" s="78" t="s">
        <v>55</v>
      </c>
      <c r="I31" s="79">
        <v>2.53E-2</v>
      </c>
      <c r="J31" s="64" t="s">
        <v>51</v>
      </c>
      <c r="K31" s="21"/>
      <c r="L31" s="29">
        <f>SUM(L33:N33)</f>
        <v>8880.24</v>
      </c>
      <c r="O31" s="7" t="str">
        <f>IF(Calculator!C8&gt;=D21,"Yes","No")</f>
        <v>No</v>
      </c>
      <c r="P31" s="7" t="str">
        <f>IF(Calculator!C5="Academic", IF(L31=R7," Correct", "Error"), "Not Eligible")</f>
        <v xml:space="preserve"> Correct</v>
      </c>
    </row>
    <row r="32" spans="2:16" ht="6.75" customHeight="1" x14ac:dyDescent="0.25">
      <c r="B32" s="4"/>
      <c r="C32" s="80"/>
      <c r="D32" s="4"/>
      <c r="E32" s="93"/>
      <c r="F32" s="3"/>
      <c r="G32" s="4"/>
      <c r="H32" s="4"/>
      <c r="I32" s="4"/>
      <c r="J32" s="90"/>
      <c r="K32" s="17"/>
      <c r="L32" s="5" t="s">
        <v>46</v>
      </c>
      <c r="M32" s="5" t="s">
        <v>47</v>
      </c>
      <c r="N32" s="5" t="s">
        <v>56</v>
      </c>
    </row>
    <row r="33" spans="1:14" ht="15" customHeight="1" x14ac:dyDescent="0.25">
      <c r="B33" s="99" t="s">
        <v>108</v>
      </c>
      <c r="C33" s="76" t="s">
        <v>57</v>
      </c>
      <c r="D33" s="59">
        <f>D21</f>
        <v>195313</v>
      </c>
      <c r="E33" s="95" t="s">
        <v>58</v>
      </c>
      <c r="F33" s="3"/>
      <c r="G33" s="30" t="s">
        <v>104</v>
      </c>
      <c r="H33" s="4"/>
      <c r="I33" s="4"/>
      <c r="J33" s="92"/>
      <c r="K33" s="21"/>
      <c r="L33" s="8">
        <f>IF(Calculator!C8&lt;=D20, Calculator!C8*D18, D20*D18)</f>
        <v>7579.08</v>
      </c>
      <c r="M33" s="8">
        <f>IF(Calculator!C8&lt;=D21, IF(Calculator!C8&lt;=D20,0, ((Calculator!C8-D20)*D19)), ((D21-D20)*D19))</f>
        <v>1301.1600000000001</v>
      </c>
      <c r="N33" s="8">
        <f>IF(Calculator!C8&gt;D21, ((Calculator!C8-D21)*D24), 0)</f>
        <v>0</v>
      </c>
    </row>
    <row r="34" spans="1:14" x14ac:dyDescent="0.25">
      <c r="B34" s="100"/>
      <c r="C34" s="67" t="s">
        <v>107</v>
      </c>
      <c r="D34" s="23">
        <v>220668</v>
      </c>
      <c r="E34" s="95" t="s">
        <v>58</v>
      </c>
      <c r="F34" s="3"/>
      <c r="G34" s="30" t="s">
        <v>106</v>
      </c>
      <c r="H34" s="4"/>
      <c r="I34" s="4"/>
    </row>
    <row r="35" spans="1:14" x14ac:dyDescent="0.25">
      <c r="B35" s="100"/>
      <c r="C35" s="81" t="s">
        <v>59</v>
      </c>
      <c r="D35" s="82">
        <v>0.08</v>
      </c>
      <c r="E35" s="95" t="s">
        <v>58</v>
      </c>
      <c r="F35" s="3"/>
      <c r="G35" s="30" t="s">
        <v>105</v>
      </c>
      <c r="H35" s="4"/>
      <c r="I35" s="4"/>
    </row>
    <row r="36" spans="1:14" x14ac:dyDescent="0.25">
      <c r="B36" s="100"/>
      <c r="C36" s="67" t="s">
        <v>60</v>
      </c>
      <c r="D36" s="82">
        <v>0.12</v>
      </c>
      <c r="E36" s="95" t="s">
        <v>58</v>
      </c>
      <c r="F36" s="3"/>
      <c r="G36" s="4"/>
      <c r="H36" s="4"/>
      <c r="I36" s="4"/>
    </row>
    <row r="37" spans="1:14" x14ac:dyDescent="0.25">
      <c r="B37" s="101"/>
      <c r="C37" s="83" t="s">
        <v>61</v>
      </c>
      <c r="D37" s="84">
        <v>0.16</v>
      </c>
      <c r="E37" s="95" t="s">
        <v>58</v>
      </c>
      <c r="F37" s="3"/>
      <c r="G37" s="4"/>
      <c r="H37" s="4"/>
      <c r="I37" s="4"/>
    </row>
    <row r="38" spans="1:14" ht="12" customHeight="1" x14ac:dyDescent="0.25">
      <c r="B38" s="4"/>
      <c r="C38" s="4"/>
      <c r="D38" s="4"/>
      <c r="E38" s="93"/>
      <c r="F38" s="3"/>
      <c r="G38" s="4"/>
      <c r="H38" s="4"/>
      <c r="I38" s="4"/>
    </row>
    <row r="39" spans="1:14" ht="15" customHeight="1" x14ac:dyDescent="0.25">
      <c r="B39" s="105" t="s">
        <v>100</v>
      </c>
      <c r="C39" s="105"/>
      <c r="D39" s="105"/>
      <c r="E39" s="96"/>
      <c r="F39" s="85"/>
      <c r="G39" s="85"/>
      <c r="H39" s="85"/>
      <c r="I39" s="85"/>
    </row>
    <row r="40" spans="1:14" ht="15" customHeight="1" x14ac:dyDescent="0.25">
      <c r="B40" s="105" t="s">
        <v>99</v>
      </c>
      <c r="C40" s="105"/>
      <c r="D40" s="105"/>
      <c r="E40" s="96"/>
      <c r="F40" s="85"/>
      <c r="G40" s="85"/>
      <c r="H40" s="85"/>
      <c r="I40" s="85"/>
    </row>
    <row r="41" spans="1:14" ht="63.75" customHeight="1" x14ac:dyDescent="0.25">
      <c r="B41" s="105" t="s">
        <v>109</v>
      </c>
      <c r="C41" s="105"/>
      <c r="D41" s="105"/>
      <c r="E41" s="96"/>
      <c r="F41" s="85"/>
      <c r="G41" s="85"/>
      <c r="H41" s="85"/>
      <c r="I41" s="85"/>
    </row>
    <row r="42" spans="1:14" x14ac:dyDescent="0.25">
      <c r="C42" s="85"/>
      <c r="D42" s="85"/>
      <c r="E42" s="96"/>
      <c r="F42" s="85"/>
      <c r="G42" s="85"/>
      <c r="H42" s="85"/>
      <c r="I42" s="85"/>
    </row>
    <row r="43" spans="1:14" s="4" customFormat="1" x14ac:dyDescent="0.25">
      <c r="C43" s="85"/>
      <c r="D43" s="85"/>
      <c r="E43" s="96"/>
      <c r="F43" s="85"/>
      <c r="G43" s="85"/>
      <c r="H43" s="85"/>
      <c r="I43" s="85"/>
      <c r="J43" s="87"/>
    </row>
    <row r="44" spans="1:14" x14ac:dyDescent="0.25">
      <c r="C44" s="4"/>
      <c r="D44" s="4"/>
      <c r="E44" s="93"/>
      <c r="F44" s="3"/>
      <c r="G44" s="86"/>
      <c r="H44" s="4"/>
      <c r="I44" s="4"/>
    </row>
    <row r="45" spans="1:14" x14ac:dyDescent="0.25">
      <c r="B45" s="4"/>
      <c r="C45" s="4"/>
      <c r="D45" s="4"/>
      <c r="E45" s="93"/>
      <c r="F45" s="3"/>
      <c r="G45" s="86"/>
      <c r="H45" s="4"/>
      <c r="I45" s="4"/>
    </row>
    <row r="46" spans="1:14" x14ac:dyDescent="0.25">
      <c r="B46" s="4"/>
      <c r="C46" s="4"/>
      <c r="D46" s="4"/>
      <c r="E46" s="93"/>
      <c r="F46" s="3"/>
      <c r="G46" s="4"/>
      <c r="H46" s="4"/>
      <c r="I46" s="4"/>
    </row>
    <row r="47" spans="1:14" x14ac:dyDescent="0.25">
      <c r="A47" s="61" t="s">
        <v>80</v>
      </c>
      <c r="B47" s="4"/>
      <c r="C47" s="4"/>
      <c r="D47" s="4"/>
      <c r="E47" s="93"/>
      <c r="F47" s="3"/>
      <c r="G47" s="4"/>
      <c r="H47" s="4"/>
      <c r="I47" s="4"/>
    </row>
    <row r="48" spans="1:14" x14ac:dyDescent="0.25">
      <c r="A48" s="62" t="s">
        <v>3</v>
      </c>
      <c r="B48" s="4" t="s">
        <v>96</v>
      </c>
      <c r="C48" s="4"/>
      <c r="D48" s="4"/>
      <c r="E48" s="93"/>
      <c r="F48" s="3"/>
      <c r="G48" s="4"/>
      <c r="H48" s="4"/>
      <c r="I48" s="4"/>
      <c r="J48" s="87"/>
      <c r="K48" s="4"/>
    </row>
    <row r="49" spans="1:12" x14ac:dyDescent="0.25">
      <c r="A49" s="62"/>
      <c r="B49" s="4" t="s">
        <v>82</v>
      </c>
      <c r="C49" s="4"/>
      <c r="D49" s="4"/>
      <c r="E49" s="93"/>
      <c r="F49" s="3"/>
      <c r="G49" s="4"/>
      <c r="H49" s="4"/>
      <c r="I49" s="4"/>
      <c r="J49" s="87"/>
      <c r="K49" s="4"/>
    </row>
    <row r="50" spans="1:12" x14ac:dyDescent="0.25">
      <c r="A50" s="63" t="s">
        <v>15</v>
      </c>
      <c r="B50" s="4" t="s">
        <v>95</v>
      </c>
      <c r="C50" s="4"/>
      <c r="D50" s="4"/>
      <c r="E50" s="93"/>
      <c r="F50" s="3"/>
      <c r="G50" s="4"/>
      <c r="H50" s="4"/>
      <c r="I50" s="4"/>
      <c r="J50" s="87"/>
      <c r="K50" s="4"/>
    </row>
    <row r="51" spans="1:12" x14ac:dyDescent="0.25">
      <c r="A51" s="63"/>
      <c r="B51" s="4" t="s">
        <v>83</v>
      </c>
      <c r="C51" s="4"/>
      <c r="D51" s="4"/>
      <c r="E51" s="93"/>
      <c r="F51" s="3"/>
      <c r="G51" s="4"/>
      <c r="H51" s="4"/>
      <c r="I51" s="4"/>
      <c r="J51" s="87"/>
      <c r="K51" s="4"/>
    </row>
    <row r="52" spans="1:12" x14ac:dyDescent="0.25">
      <c r="A52" s="63" t="s">
        <v>27</v>
      </c>
      <c r="B52" s="65" t="s">
        <v>92</v>
      </c>
      <c r="C52" s="4"/>
      <c r="D52" s="4"/>
      <c r="E52" s="93"/>
      <c r="F52" s="3"/>
      <c r="G52" s="4"/>
      <c r="H52" s="4"/>
      <c r="I52" s="4"/>
      <c r="J52" s="87"/>
      <c r="K52" s="4"/>
    </row>
    <row r="53" spans="1:12" x14ac:dyDescent="0.25">
      <c r="A53" s="63" t="s">
        <v>34</v>
      </c>
      <c r="B53" s="4" t="s">
        <v>94</v>
      </c>
      <c r="C53" s="4"/>
      <c r="D53" s="4"/>
      <c r="E53" s="93"/>
      <c r="F53" s="3"/>
      <c r="G53" s="4"/>
      <c r="H53" s="4"/>
      <c r="I53" s="4"/>
      <c r="J53" s="87"/>
      <c r="K53" s="4"/>
    </row>
    <row r="54" spans="1:12" x14ac:dyDescent="0.25">
      <c r="A54" s="63"/>
      <c r="B54" s="4" t="s">
        <v>84</v>
      </c>
      <c r="C54" s="4"/>
      <c r="D54" s="4"/>
      <c r="E54" s="93"/>
      <c r="F54" s="3"/>
      <c r="G54" s="4"/>
      <c r="H54" s="4"/>
      <c r="I54" s="4"/>
      <c r="J54" s="87"/>
      <c r="K54" s="4"/>
    </row>
    <row r="55" spans="1:12" x14ac:dyDescent="0.25">
      <c r="A55" s="63" t="s">
        <v>90</v>
      </c>
      <c r="B55" s="4" t="s">
        <v>91</v>
      </c>
      <c r="C55" s="4"/>
      <c r="D55" s="4"/>
      <c r="E55" s="93"/>
      <c r="F55" s="3"/>
      <c r="G55" s="4"/>
      <c r="H55" s="4"/>
      <c r="I55" s="4"/>
      <c r="J55" s="87"/>
      <c r="K55" s="4"/>
    </row>
    <row r="56" spans="1:12" x14ac:dyDescent="0.25">
      <c r="A56" s="63" t="s">
        <v>35</v>
      </c>
      <c r="B56" s="4" t="s">
        <v>93</v>
      </c>
      <c r="C56" s="4"/>
      <c r="D56" s="4"/>
      <c r="E56" s="93"/>
      <c r="F56" s="3"/>
      <c r="G56" s="4"/>
      <c r="H56" s="4"/>
      <c r="I56" s="4"/>
      <c r="J56" s="87"/>
      <c r="K56" s="4"/>
    </row>
    <row r="57" spans="1:12" x14ac:dyDescent="0.25">
      <c r="A57" s="63"/>
      <c r="B57" s="4" t="s">
        <v>85</v>
      </c>
      <c r="C57" s="4"/>
      <c r="D57" s="4"/>
      <c r="E57" s="93"/>
      <c r="F57" s="3"/>
      <c r="G57" s="4"/>
      <c r="H57" s="4"/>
      <c r="I57" s="4"/>
      <c r="J57" s="87"/>
      <c r="K57" s="4"/>
    </row>
    <row r="58" spans="1:12" x14ac:dyDescent="0.25">
      <c r="A58" s="63" t="s">
        <v>50</v>
      </c>
      <c r="B58" s="4" t="s">
        <v>97</v>
      </c>
      <c r="C58" s="4"/>
      <c r="D58" s="4"/>
      <c r="E58" s="93"/>
      <c r="F58" s="3"/>
      <c r="G58" s="4"/>
      <c r="H58" s="4"/>
      <c r="I58" s="4"/>
      <c r="J58" s="87"/>
      <c r="K58" s="4"/>
    </row>
    <row r="59" spans="1:12" x14ac:dyDescent="0.25">
      <c r="A59" s="63"/>
      <c r="B59" s="4" t="s">
        <v>86</v>
      </c>
      <c r="C59" s="4"/>
      <c r="D59" s="4"/>
      <c r="E59" s="93"/>
      <c r="F59" s="3"/>
      <c r="G59" s="4"/>
      <c r="H59" s="4"/>
      <c r="I59" s="4"/>
      <c r="J59" s="87"/>
      <c r="K59" s="4"/>
      <c r="L59" s="4"/>
    </row>
    <row r="60" spans="1:12" x14ac:dyDescent="0.25">
      <c r="A60" s="62" t="s">
        <v>51</v>
      </c>
      <c r="B60" s="4" t="s">
        <v>98</v>
      </c>
      <c r="C60" s="4"/>
      <c r="D60" s="4"/>
      <c r="E60" s="93"/>
      <c r="F60" s="3"/>
      <c r="G60" s="4"/>
      <c r="H60" s="4"/>
      <c r="I60" s="4"/>
      <c r="J60" s="87"/>
      <c r="K60" s="4"/>
    </row>
    <row r="61" spans="1:12" x14ac:dyDescent="0.25">
      <c r="A61" s="63"/>
      <c r="B61" s="4" t="s">
        <v>87</v>
      </c>
      <c r="C61" s="4"/>
      <c r="D61" s="4"/>
      <c r="E61" s="93"/>
      <c r="F61" s="3"/>
      <c r="G61" s="4"/>
      <c r="H61" s="4"/>
      <c r="I61" s="4"/>
      <c r="J61" s="87"/>
      <c r="K61" s="4"/>
    </row>
    <row r="62" spans="1:12" x14ac:dyDescent="0.25">
      <c r="A62" s="62" t="s">
        <v>58</v>
      </c>
      <c r="B62" s="4" t="s">
        <v>89</v>
      </c>
      <c r="C62" s="4"/>
      <c r="D62" s="4"/>
      <c r="E62" s="93"/>
      <c r="F62" s="3"/>
      <c r="G62" s="4"/>
      <c r="H62" s="4"/>
      <c r="I62" s="4"/>
      <c r="J62" s="87"/>
      <c r="K62" s="4"/>
    </row>
    <row r="63" spans="1:12" x14ac:dyDescent="0.25">
      <c r="A63" s="62"/>
      <c r="B63" s="4" t="s">
        <v>88</v>
      </c>
      <c r="C63" s="4"/>
      <c r="D63" s="4"/>
      <c r="E63" s="93"/>
      <c r="F63" s="3"/>
      <c r="G63" s="4"/>
      <c r="H63" s="4"/>
      <c r="I63" s="4"/>
      <c r="J63" s="87"/>
      <c r="K63" s="4"/>
    </row>
    <row r="64" spans="1:12" x14ac:dyDescent="0.25">
      <c r="A64" s="62" t="s">
        <v>41</v>
      </c>
      <c r="B64" s="4" t="s">
        <v>81</v>
      </c>
      <c r="C64" s="4"/>
      <c r="D64" s="4"/>
      <c r="E64" s="93"/>
      <c r="F64" s="3"/>
      <c r="G64" s="4"/>
      <c r="H64" s="4"/>
      <c r="I64" s="4"/>
    </row>
  </sheetData>
  <sheetProtection sheet="1" objects="1" scenarios="1"/>
  <mergeCells count="19">
    <mergeCell ref="B41:D41"/>
    <mergeCell ref="L9:N9"/>
    <mergeCell ref="L10:M10"/>
    <mergeCell ref="B3:D3"/>
    <mergeCell ref="G3:I3"/>
    <mergeCell ref="B5:B7"/>
    <mergeCell ref="G5:G7"/>
    <mergeCell ref="L5:P5"/>
    <mergeCell ref="B9:B12"/>
    <mergeCell ref="G9:G12"/>
    <mergeCell ref="B33:B37"/>
    <mergeCell ref="B14:B16"/>
    <mergeCell ref="G14:G16"/>
    <mergeCell ref="B18:B24"/>
    <mergeCell ref="G18:G23"/>
    <mergeCell ref="B26:B31"/>
    <mergeCell ref="G26:G31"/>
    <mergeCell ref="B39:D39"/>
    <mergeCell ref="B40:D4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9" sqref="C9"/>
    </sheetView>
  </sheetViews>
  <sheetFormatPr defaultRowHeight="15" x14ac:dyDescent="0.25"/>
  <cols>
    <col min="1" max="1" width="18.28515625" customWidth="1"/>
  </cols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Benefits Rates</vt:lpstr>
      <vt:lpstr>Dropdown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2023-02-24T19:09:25Z</dcterms:modified>
</cp:coreProperties>
</file>